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7590" activeTab="2"/>
  </bookViews>
  <sheets>
    <sheet name="Emprunt bancaire classique" sheetId="1" r:id="rId1"/>
    <sheet name="Flux nets trésorerie" sheetId="2" r:id="rId2"/>
    <sheet name="Méthodes de financement" sheetId="3" r:id="rId3"/>
  </sheets>
  <calcPr calcId="125725"/>
</workbook>
</file>

<file path=xl/calcChain.xml><?xml version="1.0" encoding="utf-8"?>
<calcChain xmlns="http://schemas.openxmlformats.org/spreadsheetml/2006/main">
  <c r="B48" i="3"/>
  <c r="B50" s="1"/>
  <c r="F47"/>
  <c r="E47"/>
  <c r="D47"/>
  <c r="C47"/>
  <c r="E46"/>
  <c r="B45"/>
  <c r="G46"/>
  <c r="F41"/>
  <c r="F46" s="1"/>
  <c r="E41"/>
  <c r="D41"/>
  <c r="D46" s="1"/>
  <c r="C41"/>
  <c r="C46" s="1"/>
  <c r="D40"/>
  <c r="D43" s="1"/>
  <c r="J22"/>
  <c r="J23" s="1"/>
  <c r="G19"/>
  <c r="J26" s="1"/>
  <c r="B30"/>
  <c r="B32" s="1"/>
  <c r="B27"/>
  <c r="D22"/>
  <c r="E22" s="1"/>
  <c r="C20" i="2"/>
  <c r="B13" i="3"/>
  <c r="B15" s="1"/>
  <c r="K8"/>
  <c r="K9" s="1"/>
  <c r="J8"/>
  <c r="J9" s="1"/>
  <c r="J11" s="1"/>
  <c r="D7"/>
  <c r="K7"/>
  <c r="L7" s="1"/>
  <c r="L8" s="1"/>
  <c r="L9" s="1"/>
  <c r="J7"/>
  <c r="B11"/>
  <c r="D26" i="2"/>
  <c r="B26"/>
  <c r="B24"/>
  <c r="B27"/>
  <c r="F21"/>
  <c r="E21"/>
  <c r="D21"/>
  <c r="C21"/>
  <c r="C23" i="3" l="1"/>
  <c r="C8"/>
  <c r="J24"/>
  <c r="C24"/>
  <c r="L26"/>
  <c r="E7"/>
  <c r="M26"/>
  <c r="K26"/>
  <c r="N26"/>
  <c r="K11"/>
  <c r="L11"/>
  <c r="D44"/>
  <c r="D45" s="1"/>
  <c r="E40"/>
  <c r="C43"/>
  <c r="K22"/>
  <c r="K23" s="1"/>
  <c r="D24" s="1"/>
  <c r="F22"/>
  <c r="M7"/>
  <c r="C17" i="2"/>
  <c r="D33"/>
  <c r="E33"/>
  <c r="E34" s="1"/>
  <c r="F33"/>
  <c r="F37" s="1"/>
  <c r="G37"/>
  <c r="C33"/>
  <c r="C34" s="1"/>
  <c r="C35" s="1"/>
  <c r="C36" s="1"/>
  <c r="H7"/>
  <c r="H11" s="1"/>
  <c r="D17"/>
  <c r="E17"/>
  <c r="F17"/>
  <c r="G17"/>
  <c r="H17"/>
  <c r="B17"/>
  <c r="B11"/>
  <c r="D37"/>
  <c r="B34"/>
  <c r="B35" s="1"/>
  <c r="B36" s="1"/>
  <c r="B38" s="1"/>
  <c r="D34"/>
  <c r="D35" s="1"/>
  <c r="D48" i="3" l="1"/>
  <c r="D50" s="1"/>
  <c r="D8"/>
  <c r="D23"/>
  <c r="D25" s="1"/>
  <c r="E8"/>
  <c r="E12" s="1"/>
  <c r="E23"/>
  <c r="M11"/>
  <c r="M8"/>
  <c r="M9" s="1"/>
  <c r="E9"/>
  <c r="E10" s="1"/>
  <c r="E11" s="1"/>
  <c r="E13" s="1"/>
  <c r="E15" s="1"/>
  <c r="F7"/>
  <c r="C12"/>
  <c r="C9"/>
  <c r="C29"/>
  <c r="C25"/>
  <c r="K24"/>
  <c r="C44"/>
  <c r="C45" s="1"/>
  <c r="E43"/>
  <c r="F40"/>
  <c r="G22"/>
  <c r="N7"/>
  <c r="C37" i="2"/>
  <c r="C38" s="1"/>
  <c r="C7" s="1"/>
  <c r="C11" s="1"/>
  <c r="C19" s="1"/>
  <c r="G9"/>
  <c r="F34"/>
  <c r="F35" s="1"/>
  <c r="G34"/>
  <c r="G35" s="1"/>
  <c r="E35"/>
  <c r="E36" s="1"/>
  <c r="E37"/>
  <c r="H19"/>
  <c r="D36"/>
  <c r="D38" s="1"/>
  <c r="D7" s="1"/>
  <c r="D11" s="1"/>
  <c r="D19" s="1"/>
  <c r="D20" s="1"/>
  <c r="B19"/>
  <c r="B20" s="1"/>
  <c r="C11" i="1"/>
  <c r="C17" s="1"/>
  <c r="D11"/>
  <c r="D17" s="1"/>
  <c r="E11"/>
  <c r="E17" s="1"/>
  <c r="F11"/>
  <c r="F17" s="1"/>
  <c r="G11"/>
  <c r="H11"/>
  <c r="H17" s="1"/>
  <c r="I11"/>
  <c r="I17" s="1"/>
  <c r="J11"/>
  <c r="J17" s="1"/>
  <c r="K11"/>
  <c r="K17" s="1"/>
  <c r="B11"/>
  <c r="B17" s="1"/>
  <c r="G17"/>
  <c r="C15"/>
  <c r="D15"/>
  <c r="E15"/>
  <c r="F15"/>
  <c r="G15"/>
  <c r="H15"/>
  <c r="I15"/>
  <c r="J15"/>
  <c r="K15"/>
  <c r="B15"/>
  <c r="B8"/>
  <c r="B6"/>
  <c r="N8" i="3" l="1"/>
  <c r="F23"/>
  <c r="F8"/>
  <c r="F12" s="1"/>
  <c r="N9"/>
  <c r="N11" s="1"/>
  <c r="L22"/>
  <c r="L23" s="1"/>
  <c r="D29"/>
  <c r="C48"/>
  <c r="C50" s="1"/>
  <c r="G7"/>
  <c r="F9"/>
  <c r="D12"/>
  <c r="D9"/>
  <c r="D10" s="1"/>
  <c r="D11" s="1"/>
  <c r="D13" s="1"/>
  <c r="D15" s="1"/>
  <c r="C10"/>
  <c r="C11" s="1"/>
  <c r="C13" s="1"/>
  <c r="C15" s="1"/>
  <c r="F43"/>
  <c r="G40"/>
  <c r="G43" s="1"/>
  <c r="E44"/>
  <c r="E45" s="1"/>
  <c r="C28"/>
  <c r="F10"/>
  <c r="F11" s="1"/>
  <c r="F13" s="1"/>
  <c r="F15" s="1"/>
  <c r="F36" i="2"/>
  <c r="F38" s="1"/>
  <c r="F7" s="1"/>
  <c r="F11" s="1"/>
  <c r="F19" s="1"/>
  <c r="F20" s="1"/>
  <c r="E38"/>
  <c r="E7" s="1"/>
  <c r="E11" s="1"/>
  <c r="E19" s="1"/>
  <c r="E20" s="1"/>
  <c r="B22" s="1"/>
  <c r="G36"/>
  <c r="G38" s="1"/>
  <c r="G11" s="1"/>
  <c r="G19" s="1"/>
  <c r="G20" s="1"/>
  <c r="B9" i="1"/>
  <c r="B13" s="1"/>
  <c r="C6" s="1"/>
  <c r="C8" s="1"/>
  <c r="C9" s="1"/>
  <c r="C13" s="1"/>
  <c r="D6" s="1"/>
  <c r="G23" i="3" l="1"/>
  <c r="G8"/>
  <c r="G12" s="1"/>
  <c r="L24"/>
  <c r="E24"/>
  <c r="E25" s="1"/>
  <c r="G9"/>
  <c r="G10" s="1"/>
  <c r="G11" s="1"/>
  <c r="G13" s="1"/>
  <c r="G15" s="1"/>
  <c r="B16" s="1"/>
  <c r="E48"/>
  <c r="E50" s="1"/>
  <c r="G44"/>
  <c r="G45" s="1"/>
  <c r="F44"/>
  <c r="F45" s="1"/>
  <c r="D28"/>
  <c r="C26"/>
  <c r="C27" s="1"/>
  <c r="D8" i="1"/>
  <c r="D9" s="1"/>
  <c r="D13" s="1"/>
  <c r="E6" s="1"/>
  <c r="G48" i="3" l="1"/>
  <c r="G50" s="1"/>
  <c r="B51" s="1"/>
  <c r="F50"/>
  <c r="F48"/>
  <c r="E29"/>
  <c r="M22"/>
  <c r="M23" s="1"/>
  <c r="C30"/>
  <c r="C32" s="1"/>
  <c r="E28"/>
  <c r="D26"/>
  <c r="D27" s="1"/>
  <c r="E8" i="1"/>
  <c r="E9" s="1"/>
  <c r="E13" s="1"/>
  <c r="F6" s="1"/>
  <c r="M24" i="3" l="1"/>
  <c r="F24"/>
  <c r="F25" s="1"/>
  <c r="D30"/>
  <c r="D32" s="1"/>
  <c r="G28"/>
  <c r="F28"/>
  <c r="E26"/>
  <c r="E27" s="1"/>
  <c r="F8" i="1"/>
  <c r="F9" s="1"/>
  <c r="F13" s="1"/>
  <c r="G6" s="1"/>
  <c r="G8" s="1"/>
  <c r="G9" s="1"/>
  <c r="G13" s="1"/>
  <c r="H6" s="1"/>
  <c r="H8" s="1"/>
  <c r="H9" s="1"/>
  <c r="H13" s="1"/>
  <c r="I6" s="1"/>
  <c r="I8" s="1"/>
  <c r="I9" s="1"/>
  <c r="I13" s="1"/>
  <c r="J6" s="1"/>
  <c r="E30" i="3" l="1"/>
  <c r="E32" s="1"/>
  <c r="N22"/>
  <c r="N23" s="1"/>
  <c r="F29"/>
  <c r="F26"/>
  <c r="F27" s="1"/>
  <c r="J8" i="1"/>
  <c r="J9" s="1"/>
  <c r="J13" s="1"/>
  <c r="K6" s="1"/>
  <c r="K8" s="1"/>
  <c r="K9" s="1"/>
  <c r="K13" s="1"/>
  <c r="F30" i="3" l="1"/>
  <c r="F32" s="1"/>
  <c r="N24"/>
  <c r="G24"/>
  <c r="G25" s="1"/>
  <c r="G26" s="1"/>
  <c r="G27" s="1"/>
  <c r="O23"/>
  <c r="G29" l="1"/>
  <c r="G30" s="1"/>
  <c r="G32" s="1"/>
  <c r="B33" s="1"/>
  <c r="O24"/>
</calcChain>
</file>

<file path=xl/sharedStrings.xml><?xml version="1.0" encoding="utf-8"?>
<sst xmlns="http://schemas.openxmlformats.org/spreadsheetml/2006/main" count="129" uniqueCount="99">
  <si>
    <t>période 1</t>
  </si>
  <si>
    <t>période 2</t>
  </si>
  <si>
    <t>période 3</t>
  </si>
  <si>
    <t>période 4</t>
  </si>
  <si>
    <t>période 5</t>
  </si>
  <si>
    <t>période 6</t>
  </si>
  <si>
    <t>période 7</t>
  </si>
  <si>
    <t>période 8</t>
  </si>
  <si>
    <t>période 9</t>
  </si>
  <si>
    <t>période 10</t>
  </si>
  <si>
    <t>capital début période</t>
  </si>
  <si>
    <t>intérêt</t>
  </si>
  <si>
    <t>taux périodique</t>
  </si>
  <si>
    <t>capital fin période</t>
  </si>
  <si>
    <t>remboursement</t>
  </si>
  <si>
    <t xml:space="preserve">Carac : </t>
  </si>
  <si>
    <t xml:space="preserve">Chaque versement périodique comprend : </t>
  </si>
  <si>
    <t>"-une part de remoubrsement de capital"</t>
  </si>
  <si>
    <t>"-une part d'intérêts"</t>
  </si>
  <si>
    <t>Les intérêts sont calculés sur le capital restant du</t>
  </si>
  <si>
    <t>Emprunt bancaire classique</t>
  </si>
  <si>
    <t>annuités constantes versées en fin de période</t>
  </si>
  <si>
    <t>total annuité</t>
  </si>
  <si>
    <t>capital emprunté V0</t>
  </si>
  <si>
    <t>Total décaissement</t>
  </si>
  <si>
    <t>Périodes</t>
  </si>
  <si>
    <t>Assurance (taux)</t>
  </si>
  <si>
    <t>n</t>
  </si>
  <si>
    <t>ENCAISSEMENTS</t>
  </si>
  <si>
    <t>Capacité d'autofinancement</t>
  </si>
  <si>
    <t>Valeur résiduelle du bien 1</t>
  </si>
  <si>
    <t>Valeur résiduelle du bien 2</t>
  </si>
  <si>
    <t>TOTAL 1</t>
  </si>
  <si>
    <t>Coût d'acquisition du bien 1</t>
  </si>
  <si>
    <t>Coût d'acquisition du bien 2</t>
  </si>
  <si>
    <t>Constitution du B.F.R</t>
  </si>
  <si>
    <t>TOTAL 2</t>
  </si>
  <si>
    <t>FLUX NETS DE TRESORERIE T1-T2</t>
  </si>
  <si>
    <t>Récupération du B.F.R</t>
  </si>
  <si>
    <t>Flux nets trésorerie</t>
  </si>
  <si>
    <t>DECAISSEMENTS</t>
  </si>
  <si>
    <t>CAPACITE D'AUTOFINANCEMENT : METHODE ADDITIVE</t>
  </si>
  <si>
    <t>Chiffre d'affaires</t>
  </si>
  <si>
    <t>"-Charges d'exploitation décaissées"</t>
  </si>
  <si>
    <t>"-Dotations aux amortissements"</t>
  </si>
  <si>
    <t>"= Résultat avant impôt"</t>
  </si>
  <si>
    <t>"-Impôt sur bénéfices 33 1/3 %</t>
  </si>
  <si>
    <t>"=Capacité d'auto financement"</t>
  </si>
  <si>
    <t>"=Résultat net</t>
  </si>
  <si>
    <t>"+Dotations aux amortissements"</t>
  </si>
  <si>
    <t>Amortissement total</t>
  </si>
  <si>
    <t>Nombre d'années</t>
  </si>
  <si>
    <t>Nombre périodes</t>
  </si>
  <si>
    <t>G9 : cout acquisition bien 2 - nb périodes actuel * cout amortissement</t>
  </si>
  <si>
    <t>Valeur Actualisée Nette (V.A.N)</t>
  </si>
  <si>
    <t>Indice de profitabilité = FNT/investissement</t>
  </si>
  <si>
    <t xml:space="preserve">Taux </t>
  </si>
  <si>
    <t xml:space="preserve">Taux interne de rentabilité </t>
  </si>
  <si>
    <t>Délai de récupération du capital invesi (DRCI)</t>
  </si>
  <si>
    <t>ans</t>
  </si>
  <si>
    <t>jours</t>
  </si>
  <si>
    <t>Taux de Rendement Comptable (T.R.C)</t>
  </si>
  <si>
    <t>(somme de tous les flux nets de trésorerie/nb de périodes) / total 2</t>
  </si>
  <si>
    <t>Cumul (ligne useless)</t>
  </si>
  <si>
    <t>ligne pour calc V.A.N</t>
  </si>
  <si>
    <t>(il faut que VAN soit = 0 pour que ce soit rentable)</t>
  </si>
  <si>
    <t>somme de tous les flux nets de trésorerie / total 2 (total 2 = investissement)</t>
  </si>
  <si>
    <t>càd =&gt;</t>
  </si>
  <si>
    <t>Regarder la ligne Cumul : quand l'investissement est atteint (ici entre la 3ème et 4ème année (109 000 est entre 101 333 et 169 000)</t>
  </si>
  <si>
    <t>(Ici, dégressif, donc on regarde le coefficient)</t>
  </si>
  <si>
    <t>Coef dégressif</t>
  </si>
  <si>
    <t>Recettes</t>
  </si>
  <si>
    <t>"- Dépenses"</t>
  </si>
  <si>
    <t>"-Dotations aux Amortissement"</t>
  </si>
  <si>
    <t>"- Impôt sur bénéfice 33%"</t>
  </si>
  <si>
    <t>"= Résultat net"</t>
  </si>
  <si>
    <t>"+ Dotations aux amortissements"</t>
  </si>
  <si>
    <t>"= Flux Nets de trésorerie"</t>
  </si>
  <si>
    <t>V.A.N</t>
  </si>
  <si>
    <t>V.A.N partielle</t>
  </si>
  <si>
    <t>amort théo.</t>
  </si>
  <si>
    <t>VNC th</t>
  </si>
  <si>
    <t>VNC / durée restante</t>
  </si>
  <si>
    <t>Amort retenu</t>
  </si>
  <si>
    <t>Calcul amortissement dégressif</t>
  </si>
  <si>
    <t>Taux</t>
  </si>
  <si>
    <t>Emprunt</t>
  </si>
  <si>
    <t>Annuité</t>
  </si>
  <si>
    <t>Partie 1 (financement propre)</t>
  </si>
  <si>
    <t>Calcul intérêt</t>
  </si>
  <si>
    <t>int</t>
  </si>
  <si>
    <t>remb</t>
  </si>
  <si>
    <t>total fin période</t>
  </si>
  <si>
    <t>"-Charges d'intérêt d'emprunt"</t>
  </si>
  <si>
    <t>"-Remboursement d'emprunt"</t>
  </si>
  <si>
    <t>Partie 2 (emprunt)</t>
  </si>
  <si>
    <t>Partie 3 (crédit bail)</t>
  </si>
  <si>
    <t>"-Redevance de crédit bail"</t>
  </si>
  <si>
    <t>"+-Dépôt de garantie"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</si>
</sst>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164" fontId="0" fillId="2" borderId="0" xfId="1" applyNumberFormat="1" applyFont="1" applyFill="1"/>
    <xf numFmtId="164" fontId="0" fillId="0" borderId="0" xfId="1" applyNumberFormat="1" applyFont="1"/>
    <xf numFmtId="164" fontId="2" fillId="0" borderId="0" xfId="1" applyNumberFormat="1" applyFont="1"/>
    <xf numFmtId="164" fontId="0" fillId="0" borderId="1" xfId="1" applyNumberFormat="1" applyFont="1" applyBorder="1"/>
    <xf numFmtId="10" fontId="2" fillId="2" borderId="0" xfId="1" applyNumberFormat="1" applyFont="1" applyFill="1"/>
    <xf numFmtId="0" fontId="0" fillId="3" borderId="0" xfId="0" applyFill="1"/>
    <xf numFmtId="164" fontId="2" fillId="3" borderId="1" xfId="1" applyNumberFormat="1" applyFont="1" applyFill="1" applyBorder="1"/>
    <xf numFmtId="164" fontId="0" fillId="3" borderId="1" xfId="1" applyNumberFormat="1" applyFont="1" applyFill="1" applyBorder="1"/>
    <xf numFmtId="0" fontId="0" fillId="3" borderId="1" xfId="0" applyFill="1" applyBorder="1"/>
    <xf numFmtId="10" fontId="0" fillId="2" borderId="1" xfId="1" applyNumberFormat="1" applyFont="1" applyFill="1" applyBorder="1"/>
    <xf numFmtId="164" fontId="0" fillId="0" borderId="1" xfId="0" applyNumberFormat="1" applyBorder="1"/>
    <xf numFmtId="164" fontId="4" fillId="0" borderId="1" xfId="1" applyNumberFormat="1" applyFont="1" applyBorder="1"/>
    <xf numFmtId="164" fontId="3" fillId="0" borderId="0" xfId="1" applyNumberFormat="1" applyFont="1"/>
    <xf numFmtId="164" fontId="3" fillId="0" borderId="1" xfId="1" applyNumberFormat="1" applyFont="1" applyBorder="1"/>
    <xf numFmtId="164" fontId="4" fillId="0" borderId="1" xfId="0" applyNumberFormat="1" applyFont="1" applyBorder="1"/>
    <xf numFmtId="0" fontId="3" fillId="0" borderId="0" xfId="0" applyFont="1"/>
    <xf numFmtId="0" fontId="0" fillId="0" borderId="1" xfId="0" applyBorder="1"/>
    <xf numFmtId="0" fontId="0" fillId="0" borderId="5" xfId="0" applyBorder="1"/>
    <xf numFmtId="0" fontId="3" fillId="0" borderId="5" xfId="0" applyFont="1" applyBorder="1"/>
    <xf numFmtId="0" fontId="3" fillId="0" borderId="7" xfId="0" applyFont="1" applyBorder="1"/>
    <xf numFmtId="164" fontId="0" fillId="0" borderId="1" xfId="1" applyNumberFormat="1" applyFont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164" fontId="0" fillId="2" borderId="6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164" fontId="0" fillId="4" borderId="6" xfId="1" applyNumberFormat="1" applyFont="1" applyFill="1" applyBorder="1" applyAlignment="1">
      <alignment horizontal="center"/>
    </xf>
    <xf numFmtId="164" fontId="0" fillId="2" borderId="1" xfId="1" applyNumberFormat="1" applyFont="1" applyFill="1" applyBorder="1"/>
    <xf numFmtId="0" fontId="3" fillId="5" borderId="2" xfId="0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5" xfId="0" applyFill="1" applyBorder="1"/>
    <xf numFmtId="164" fontId="0" fillId="5" borderId="1" xfId="1" applyNumberFormat="1" applyFont="1" applyFill="1" applyBorder="1" applyAlignment="1">
      <alignment horizontal="center"/>
    </xf>
    <xf numFmtId="164" fontId="0" fillId="5" borderId="6" xfId="1" applyNumberFormat="1" applyFont="1" applyFill="1" applyBorder="1" applyAlignment="1">
      <alignment horizontal="center"/>
    </xf>
    <xf numFmtId="0" fontId="0" fillId="2" borderId="0" xfId="0" applyFill="1"/>
    <xf numFmtId="164" fontId="0" fillId="6" borderId="1" xfId="1" applyNumberFormat="1" applyFont="1" applyFill="1" applyBorder="1" applyAlignment="1">
      <alignment horizontal="center"/>
    </xf>
    <xf numFmtId="164" fontId="0" fillId="6" borderId="6" xfId="1" applyNumberFormat="1" applyFont="1" applyFill="1" applyBorder="1" applyAlignment="1">
      <alignment horizontal="center"/>
    </xf>
    <xf numFmtId="164" fontId="0" fillId="0" borderId="0" xfId="0" applyNumberFormat="1"/>
    <xf numFmtId="164" fontId="3" fillId="0" borderId="9" xfId="1" applyNumberFormat="1" applyFont="1" applyFill="1" applyBorder="1" applyAlignment="1">
      <alignment horizontal="center"/>
    </xf>
    <xf numFmtId="0" fontId="0" fillId="0" borderId="10" xfId="0" applyBorder="1"/>
    <xf numFmtId="164" fontId="0" fillId="0" borderId="11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0" xfId="0" applyFill="1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7" fontId="0" fillId="0" borderId="16" xfId="0" applyNumberFormat="1" applyBorder="1"/>
    <xf numFmtId="164" fontId="0" fillId="0" borderId="0" xfId="0" applyNumberFormat="1" applyBorder="1"/>
    <xf numFmtId="166" fontId="0" fillId="0" borderId="0" xfId="0" applyNumberFormat="1" applyBorder="1"/>
    <xf numFmtId="0" fontId="0" fillId="2" borderId="1" xfId="0" applyFill="1" applyBorder="1"/>
    <xf numFmtId="165" fontId="0" fillId="0" borderId="1" xfId="0" applyNumberFormat="1" applyBorder="1"/>
    <xf numFmtId="164" fontId="0" fillId="6" borderId="1" xfId="0" applyNumberFormat="1" applyFill="1" applyBorder="1"/>
    <xf numFmtId="0" fontId="3" fillId="0" borderId="1" xfId="0" applyFont="1" applyBorder="1"/>
    <xf numFmtId="0" fontId="0" fillId="0" borderId="1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0" fillId="6" borderId="1" xfId="0" applyNumberFormat="1" applyFill="1" applyBorder="1"/>
    <xf numFmtId="164" fontId="2" fillId="0" borderId="1" xfId="0" applyNumberFormat="1" applyFont="1" applyBorder="1"/>
    <xf numFmtId="43" fontId="0" fillId="0" borderId="1" xfId="0" applyNumberFormat="1" applyBorder="1"/>
    <xf numFmtId="43" fontId="3" fillId="0" borderId="1" xfId="1" applyNumberFormat="1" applyFont="1" applyBorder="1" applyAlignment="1">
      <alignment horizontal="center"/>
    </xf>
    <xf numFmtId="43" fontId="0" fillId="6" borderId="1" xfId="1" applyNumberFormat="1" applyFont="1" applyFill="1" applyBorder="1" applyAlignment="1">
      <alignment horizontal="center"/>
    </xf>
    <xf numFmtId="0" fontId="0" fillId="6" borderId="0" xfId="0" applyFill="1"/>
    <xf numFmtId="164" fontId="0" fillId="2" borderId="1" xfId="0" applyNumberFormat="1" applyFill="1" applyBorder="1"/>
    <xf numFmtId="164" fontId="0" fillId="6" borderId="1" xfId="1" applyNumberFormat="1" applyFont="1" applyFill="1" applyBorder="1"/>
    <xf numFmtId="0" fontId="3" fillId="5" borderId="21" xfId="0" applyFont="1" applyFill="1" applyBorder="1" applyAlignment="1">
      <alignment horizontal="center"/>
    </xf>
    <xf numFmtId="0" fontId="0" fillId="0" borderId="22" xfId="0" applyBorder="1"/>
    <xf numFmtId="164" fontId="0" fillId="0" borderId="22" xfId="0" applyNumberFormat="1" applyBorder="1"/>
    <xf numFmtId="43" fontId="2" fillId="0" borderId="16" xfId="0" applyNumberFormat="1" applyFont="1" applyBorder="1"/>
    <xf numFmtId="43" fontId="2" fillId="0" borderId="19" xfId="0" applyNumberFormat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K4" sqref="K4"/>
    </sheetView>
  </sheetViews>
  <sheetFormatPr baseColWidth="10" defaultRowHeight="15"/>
  <cols>
    <col min="1" max="1" width="21" customWidth="1"/>
    <col min="2" max="2" width="15.28515625" bestFit="1" customWidth="1"/>
    <col min="7" max="7" width="15.140625" bestFit="1" customWidth="1"/>
  </cols>
  <sheetData>
    <row r="1" spans="1:11">
      <c r="A1" s="13" t="s">
        <v>20</v>
      </c>
      <c r="B1" s="2"/>
      <c r="C1" s="2"/>
      <c r="D1" s="2"/>
      <c r="E1" s="2"/>
      <c r="F1" s="2"/>
      <c r="G1" s="13" t="s">
        <v>21</v>
      </c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 t="s">
        <v>23</v>
      </c>
      <c r="B3" s="1">
        <v>1000000</v>
      </c>
      <c r="C3" s="2"/>
      <c r="D3" s="2"/>
      <c r="E3" s="2"/>
      <c r="F3" s="2"/>
      <c r="G3" s="3" t="s">
        <v>12</v>
      </c>
      <c r="H3" s="5">
        <v>3.5000000000000003E-2</v>
      </c>
      <c r="I3" s="2"/>
      <c r="J3" s="2" t="s">
        <v>25</v>
      </c>
      <c r="K3" s="1">
        <v>10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4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</row>
    <row r="6" spans="1:11">
      <c r="A6" s="4" t="s">
        <v>10</v>
      </c>
      <c r="B6" s="4">
        <f>B3</f>
        <v>1000000</v>
      </c>
      <c r="C6" s="4">
        <f>B13</f>
        <v>914758.63213260844</v>
      </c>
      <c r="D6" s="4">
        <f>C13</f>
        <v>826533.81638985826</v>
      </c>
      <c r="E6" s="4">
        <f t="shared" ref="E6:K6" si="0">D13</f>
        <v>735221.13209611177</v>
      </c>
      <c r="F6" s="4">
        <f t="shared" si="0"/>
        <v>640712.50385208416</v>
      </c>
      <c r="G6" s="4">
        <f t="shared" si="0"/>
        <v>542896.07361951564</v>
      </c>
      <c r="H6" s="4">
        <f t="shared" si="0"/>
        <v>441656.06832880719</v>
      </c>
      <c r="I6" s="4">
        <f t="shared" si="0"/>
        <v>336872.66285292397</v>
      </c>
      <c r="J6" s="4">
        <f t="shared" si="0"/>
        <v>228421.83818538481</v>
      </c>
      <c r="K6" s="4">
        <f t="shared" si="0"/>
        <v>116175.23465448178</v>
      </c>
    </row>
    <row r="7" spans="1:11">
      <c r="A7" s="6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>
      <c r="A8" s="4" t="s">
        <v>11</v>
      </c>
      <c r="B8" s="4">
        <f>B6*$H$3</f>
        <v>35000</v>
      </c>
      <c r="C8" s="4">
        <f>C6*$H$3</f>
        <v>32016.552124641297</v>
      </c>
      <c r="D8" s="4">
        <f t="shared" ref="D8:K8" si="1">D6*$H$3</f>
        <v>28928.683573645041</v>
      </c>
      <c r="E8" s="4">
        <f t="shared" si="1"/>
        <v>25732.739623363916</v>
      </c>
      <c r="F8" s="4">
        <f t="shared" si="1"/>
        <v>22424.937634822949</v>
      </c>
      <c r="G8" s="4">
        <f t="shared" si="1"/>
        <v>19001.362576683048</v>
      </c>
      <c r="H8" s="4">
        <f t="shared" si="1"/>
        <v>15457.962391508254</v>
      </c>
      <c r="I8" s="4">
        <f t="shared" si="1"/>
        <v>11790.54319985234</v>
      </c>
      <c r="J8" s="4">
        <f t="shared" si="1"/>
        <v>7994.7643364884689</v>
      </c>
      <c r="K8" s="4">
        <f t="shared" si="1"/>
        <v>4066.1332129068628</v>
      </c>
    </row>
    <row r="9" spans="1:11">
      <c r="A9" s="4" t="s">
        <v>14</v>
      </c>
      <c r="B9" s="4">
        <f>B11-B8</f>
        <v>85241.367867391498</v>
      </c>
      <c r="C9" s="4">
        <f>C11-C8</f>
        <v>88224.815742750201</v>
      </c>
      <c r="D9" s="4">
        <f t="shared" ref="D9:K9" si="2">D11-D8</f>
        <v>91312.684293746453</v>
      </c>
      <c r="E9" s="4">
        <f t="shared" si="2"/>
        <v>94508.628244027583</v>
      </c>
      <c r="F9" s="4">
        <f t="shared" si="2"/>
        <v>97816.430232568557</v>
      </c>
      <c r="G9" s="4">
        <f t="shared" si="2"/>
        <v>101240.00529070845</v>
      </c>
      <c r="H9" s="4">
        <f t="shared" si="2"/>
        <v>104783.40547588325</v>
      </c>
      <c r="I9" s="4">
        <f t="shared" si="2"/>
        <v>108450.82466753916</v>
      </c>
      <c r="J9" s="4">
        <f t="shared" si="2"/>
        <v>112246.60353090303</v>
      </c>
      <c r="K9" s="4">
        <f t="shared" si="2"/>
        <v>116175.23465448464</v>
      </c>
    </row>
    <row r="10" spans="1:11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>
      <c r="A11" s="4" t="s">
        <v>22</v>
      </c>
      <c r="B11" s="4">
        <f>$B$3*$H$3/(1-(1+$H$3)^-$K$3)</f>
        <v>120241.3678673915</v>
      </c>
      <c r="C11" s="4">
        <f t="shared" ref="C11:K11" si="3">$B$3*$H$3/(1-(1+$H$3)^-$K$3)</f>
        <v>120241.3678673915</v>
      </c>
      <c r="D11" s="4">
        <f t="shared" si="3"/>
        <v>120241.3678673915</v>
      </c>
      <c r="E11" s="4">
        <f t="shared" si="3"/>
        <v>120241.3678673915</v>
      </c>
      <c r="F11" s="4">
        <f t="shared" si="3"/>
        <v>120241.3678673915</v>
      </c>
      <c r="G11" s="4">
        <f t="shared" si="3"/>
        <v>120241.3678673915</v>
      </c>
      <c r="H11" s="4">
        <f t="shared" si="3"/>
        <v>120241.3678673915</v>
      </c>
      <c r="I11" s="4">
        <f t="shared" si="3"/>
        <v>120241.3678673915</v>
      </c>
      <c r="J11" s="4">
        <f t="shared" si="3"/>
        <v>120241.3678673915</v>
      </c>
      <c r="K11" s="4">
        <f t="shared" si="3"/>
        <v>120241.3678673915</v>
      </c>
    </row>
    <row r="12" spans="1:1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>
      <c r="A13" s="4" t="s">
        <v>13</v>
      </c>
      <c r="B13" s="4">
        <f>B6-B9</f>
        <v>914758.63213260844</v>
      </c>
      <c r="C13" s="4">
        <f>C6-C9</f>
        <v>826533.81638985826</v>
      </c>
      <c r="D13" s="4">
        <f t="shared" ref="D13:K13" si="4">D6-D9</f>
        <v>735221.13209611177</v>
      </c>
      <c r="E13" s="4">
        <f t="shared" si="4"/>
        <v>640712.50385208416</v>
      </c>
      <c r="F13" s="4">
        <f t="shared" si="4"/>
        <v>542896.07361951564</v>
      </c>
      <c r="G13" s="4">
        <f t="shared" si="4"/>
        <v>441656.06832880719</v>
      </c>
      <c r="H13" s="4">
        <f t="shared" si="4"/>
        <v>336872.66285292397</v>
      </c>
      <c r="I13" s="4">
        <f t="shared" si="4"/>
        <v>228421.83818538481</v>
      </c>
      <c r="J13" s="4">
        <f t="shared" si="4"/>
        <v>116175.23465448178</v>
      </c>
      <c r="K13" s="4">
        <f t="shared" si="4"/>
        <v>-2.852175384759903E-9</v>
      </c>
    </row>
    <row r="14" spans="1:1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>
      <c r="A15" s="12" t="s">
        <v>26</v>
      </c>
      <c r="B15" s="15">
        <f>$B$3*$A$16</f>
        <v>2000</v>
      </c>
      <c r="C15" s="15">
        <f t="shared" ref="C15:K15" si="5">$B$3*$A$16</f>
        <v>2000</v>
      </c>
      <c r="D15" s="15">
        <f t="shared" si="5"/>
        <v>2000</v>
      </c>
      <c r="E15" s="15">
        <f t="shared" si="5"/>
        <v>2000</v>
      </c>
      <c r="F15" s="15">
        <f t="shared" si="5"/>
        <v>2000</v>
      </c>
      <c r="G15" s="15">
        <f t="shared" si="5"/>
        <v>2000</v>
      </c>
      <c r="H15" s="15">
        <f t="shared" si="5"/>
        <v>2000</v>
      </c>
      <c r="I15" s="15">
        <f t="shared" si="5"/>
        <v>2000</v>
      </c>
      <c r="J15" s="15">
        <f t="shared" si="5"/>
        <v>2000</v>
      </c>
      <c r="K15" s="15">
        <f t="shared" si="5"/>
        <v>2000</v>
      </c>
    </row>
    <row r="16" spans="1:11">
      <c r="A16" s="10">
        <v>2E-3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>
      <c r="A17" s="14" t="s">
        <v>24</v>
      </c>
      <c r="B17" s="11">
        <f>B11+B15</f>
        <v>122241.3678673915</v>
      </c>
      <c r="C17" s="11">
        <f>C11+C15</f>
        <v>122241.3678673915</v>
      </c>
      <c r="D17" s="11">
        <f t="shared" ref="D17:K17" si="6">D11+D15</f>
        <v>122241.3678673915</v>
      </c>
      <c r="E17" s="11">
        <f t="shared" si="6"/>
        <v>122241.3678673915</v>
      </c>
      <c r="F17" s="11">
        <f t="shared" si="6"/>
        <v>122241.3678673915</v>
      </c>
      <c r="G17" s="11">
        <f t="shared" si="6"/>
        <v>122241.3678673915</v>
      </c>
      <c r="H17" s="11">
        <f t="shared" si="6"/>
        <v>122241.3678673915</v>
      </c>
      <c r="I17" s="11">
        <f t="shared" si="6"/>
        <v>122241.3678673915</v>
      </c>
      <c r="J17" s="11">
        <f t="shared" si="6"/>
        <v>122241.3678673915</v>
      </c>
      <c r="K17" s="11">
        <f t="shared" si="6"/>
        <v>122241.3678673915</v>
      </c>
    </row>
    <row r="19" spans="1:11">
      <c r="C19" s="16" t="s">
        <v>15</v>
      </c>
    </row>
    <row r="20" spans="1:11">
      <c r="C20" t="s">
        <v>16</v>
      </c>
    </row>
    <row r="21" spans="1:11">
      <c r="C21" t="s">
        <v>17</v>
      </c>
    </row>
    <row r="22" spans="1:11">
      <c r="C22" t="s">
        <v>18</v>
      </c>
    </row>
    <row r="23" spans="1:11">
      <c r="C23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opLeftCell="A12" zoomScaleNormal="100" workbookViewId="0">
      <selection activeCell="B22" sqref="B22"/>
    </sheetView>
  </sheetViews>
  <sheetFormatPr baseColWidth="10" defaultRowHeight="15"/>
  <cols>
    <col min="1" max="1" width="49.5703125" bestFit="1" customWidth="1"/>
    <col min="2" max="2" width="14.28515625" bestFit="1" customWidth="1"/>
    <col min="3" max="3" width="19.42578125" bestFit="1" customWidth="1"/>
    <col min="4" max="6" width="13" bestFit="1" customWidth="1"/>
    <col min="7" max="7" width="14.42578125" bestFit="1" customWidth="1"/>
    <col min="8" max="8" width="11.5703125" bestFit="1" customWidth="1"/>
    <col min="9" max="9" width="21.85546875" customWidth="1"/>
    <col min="10" max="10" width="19.42578125" bestFit="1" customWidth="1"/>
    <col min="11" max="11" width="14.28515625" bestFit="1" customWidth="1"/>
  </cols>
  <sheetData>
    <row r="1" spans="1:9">
      <c r="A1" s="63" t="s">
        <v>39</v>
      </c>
      <c r="B1" s="63"/>
      <c r="C1" s="63"/>
      <c r="D1" s="63"/>
      <c r="E1" s="63"/>
    </row>
    <row r="2" spans="1:9">
      <c r="C2" s="17" t="s">
        <v>50</v>
      </c>
      <c r="D2" s="28">
        <v>80000</v>
      </c>
    </row>
    <row r="3" spans="1:9">
      <c r="C3" s="17" t="s">
        <v>51</v>
      </c>
      <c r="D3" s="28">
        <v>4</v>
      </c>
      <c r="E3" t="s">
        <v>52</v>
      </c>
      <c r="F3" s="35">
        <v>4</v>
      </c>
    </row>
    <row r="4" spans="1:9" ht="15.75" thickBot="1"/>
    <row r="5" spans="1:9">
      <c r="A5" s="29" t="s">
        <v>25</v>
      </c>
      <c r="B5" s="30">
        <v>0</v>
      </c>
      <c r="C5" s="30">
        <v>1</v>
      </c>
      <c r="D5" s="30">
        <v>2</v>
      </c>
      <c r="E5" s="30">
        <v>3</v>
      </c>
      <c r="F5" s="30">
        <v>4</v>
      </c>
      <c r="G5" s="30">
        <v>5</v>
      </c>
      <c r="H5" s="31" t="s">
        <v>27</v>
      </c>
    </row>
    <row r="6" spans="1:9">
      <c r="A6" s="19" t="s">
        <v>28</v>
      </c>
      <c r="B6" s="26"/>
      <c r="C6" s="26"/>
      <c r="D6" s="26"/>
      <c r="E6" s="26"/>
      <c r="F6" s="26"/>
      <c r="G6" s="26"/>
      <c r="H6" s="27"/>
    </row>
    <row r="7" spans="1:9">
      <c r="A7" s="18" t="s">
        <v>29</v>
      </c>
      <c r="B7" s="21">
        <v>0</v>
      </c>
      <c r="C7" s="21">
        <f>C38</f>
        <v>26666.666666666664</v>
      </c>
      <c r="D7" s="21">
        <f>D38</f>
        <v>33333.333333333328</v>
      </c>
      <c r="E7" s="21">
        <f>E38</f>
        <v>41333.333333333336</v>
      </c>
      <c r="F7" s="21">
        <f>F38</f>
        <v>28666.666666666668</v>
      </c>
      <c r="G7" s="21"/>
      <c r="H7" s="21">
        <f t="shared" ref="H7" si="0">H32</f>
        <v>0</v>
      </c>
    </row>
    <row r="8" spans="1:9">
      <c r="A8" s="18" t="s">
        <v>30</v>
      </c>
      <c r="B8" s="22">
        <v>0</v>
      </c>
      <c r="C8" s="22"/>
      <c r="D8" s="22"/>
      <c r="E8" s="22"/>
      <c r="F8" s="22">
        <v>20000</v>
      </c>
      <c r="G8" s="22"/>
      <c r="H8" s="36"/>
    </row>
    <row r="9" spans="1:9">
      <c r="A9" s="18" t="s">
        <v>31</v>
      </c>
      <c r="B9" s="22">
        <v>0</v>
      </c>
      <c r="C9" s="22"/>
      <c r="D9" s="22"/>
      <c r="E9" s="22"/>
      <c r="F9" s="22">
        <v>10000</v>
      </c>
      <c r="G9" s="22">
        <f>B15-$F$3*C33</f>
        <v>0</v>
      </c>
      <c r="H9" s="36"/>
      <c r="I9" t="s">
        <v>53</v>
      </c>
    </row>
    <row r="10" spans="1:9">
      <c r="A10" s="18" t="s">
        <v>38</v>
      </c>
      <c r="B10" s="22"/>
      <c r="C10" s="22"/>
      <c r="D10" s="22"/>
      <c r="E10" s="22"/>
      <c r="F10" s="22">
        <v>9000</v>
      </c>
      <c r="G10" s="22"/>
      <c r="H10" s="37"/>
    </row>
    <row r="11" spans="1:9">
      <c r="A11" s="19" t="s">
        <v>32</v>
      </c>
      <c r="B11" s="24">
        <f t="shared" ref="B11:H11" si="1">SUM(B7:B10)</f>
        <v>0</v>
      </c>
      <c r="C11" s="24">
        <f t="shared" si="1"/>
        <v>26666.666666666664</v>
      </c>
      <c r="D11" s="24">
        <f t="shared" si="1"/>
        <v>33333.333333333328</v>
      </c>
      <c r="E11" s="24">
        <f t="shared" si="1"/>
        <v>41333.333333333336</v>
      </c>
      <c r="F11" s="24">
        <f t="shared" si="1"/>
        <v>67666.666666666672</v>
      </c>
      <c r="G11" s="24">
        <f t="shared" si="1"/>
        <v>0</v>
      </c>
      <c r="H11" s="24">
        <f t="shared" si="1"/>
        <v>0</v>
      </c>
    </row>
    <row r="12" spans="1:9">
      <c r="A12" s="32"/>
      <c r="B12" s="33"/>
      <c r="C12" s="33"/>
      <c r="D12" s="33"/>
      <c r="E12" s="33"/>
      <c r="F12" s="33"/>
      <c r="G12" s="33"/>
      <c r="H12" s="34"/>
    </row>
    <row r="13" spans="1:9">
      <c r="A13" s="19" t="s">
        <v>40</v>
      </c>
      <c r="B13" s="26"/>
      <c r="C13" s="26"/>
      <c r="D13" s="26"/>
      <c r="E13" s="26"/>
      <c r="F13" s="26"/>
      <c r="G13" s="26"/>
      <c r="H13" s="27"/>
    </row>
    <row r="14" spans="1:9">
      <c r="A14" s="18" t="s">
        <v>33</v>
      </c>
      <c r="B14" s="22">
        <v>20000</v>
      </c>
      <c r="C14" s="22"/>
      <c r="D14" s="22"/>
      <c r="E14" s="22"/>
      <c r="F14" s="22"/>
      <c r="G14" s="22"/>
      <c r="H14" s="37"/>
    </row>
    <row r="15" spans="1:9">
      <c r="A15" s="18" t="s">
        <v>34</v>
      </c>
      <c r="B15" s="22">
        <v>80000</v>
      </c>
      <c r="C15" s="22">
        <v>0</v>
      </c>
      <c r="D15" s="22"/>
      <c r="E15" s="22"/>
      <c r="F15" s="22"/>
      <c r="G15" s="22"/>
      <c r="H15" s="37"/>
    </row>
    <row r="16" spans="1:9">
      <c r="A16" s="18" t="s">
        <v>35</v>
      </c>
      <c r="B16" s="22">
        <v>9000</v>
      </c>
      <c r="C16" s="22"/>
      <c r="D16" s="22"/>
      <c r="E16" s="22"/>
      <c r="F16" s="22"/>
      <c r="G16" s="22"/>
      <c r="H16" s="37"/>
    </row>
    <row r="17" spans="1:9">
      <c r="A17" s="19" t="s">
        <v>36</v>
      </c>
      <c r="B17" s="24">
        <f>SUM(B14:B16)</f>
        <v>109000</v>
      </c>
      <c r="C17" s="24">
        <f t="shared" ref="C17:H17" si="2">SUM(C14:C16)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  <c r="I17" s="39"/>
    </row>
    <row r="18" spans="1:9">
      <c r="A18" s="32"/>
      <c r="B18" s="33"/>
      <c r="C18" s="33"/>
      <c r="D18" s="33"/>
      <c r="E18" s="33"/>
      <c r="F18" s="33"/>
      <c r="G18" s="33"/>
      <c r="H18" s="34"/>
    </row>
    <row r="19" spans="1:9" ht="15.75" thickBot="1">
      <c r="A19" s="20" t="s">
        <v>37</v>
      </c>
      <c r="B19" s="25">
        <f>B11-B17</f>
        <v>-109000</v>
      </c>
      <c r="C19" s="25">
        <f t="shared" ref="C19:H19" si="3">C11-C17</f>
        <v>26666.666666666664</v>
      </c>
      <c r="D19" s="25">
        <f t="shared" si="3"/>
        <v>33333.333333333328</v>
      </c>
      <c r="E19" s="25">
        <f t="shared" si="3"/>
        <v>41333.333333333336</v>
      </c>
      <c r="F19" s="25">
        <f t="shared" si="3"/>
        <v>67666.666666666672</v>
      </c>
      <c r="G19" s="25">
        <f t="shared" si="3"/>
        <v>0</v>
      </c>
      <c r="H19" s="25">
        <f t="shared" si="3"/>
        <v>0</v>
      </c>
    </row>
    <row r="20" spans="1:9">
      <c r="A20" t="s">
        <v>64</v>
      </c>
      <c r="B20" s="38">
        <f>B19</f>
        <v>-109000</v>
      </c>
      <c r="C20">
        <f>C19*(1/((1+$B$23)^C5))</f>
        <v>23188.405797101448</v>
      </c>
      <c r="D20">
        <f>D19*(1/((1+$B$23)^D5))</f>
        <v>25204.788909892879</v>
      </c>
      <c r="E20">
        <f>E19*(1/((1+$B$23)^E5))</f>
        <v>27177.337607188852</v>
      </c>
      <c r="F20">
        <f>F19*(1/((1+$B$23)^F5))</f>
        <v>38688.636285128596</v>
      </c>
      <c r="G20">
        <f>G19*(1/((1+$B$23)^G5))</f>
        <v>0</v>
      </c>
    </row>
    <row r="21" spans="1:9" ht="15.75" thickBot="1">
      <c r="A21" t="s">
        <v>63</v>
      </c>
      <c r="C21" s="38">
        <f>C19</f>
        <v>26666.666666666664</v>
      </c>
      <c r="D21" s="38">
        <f>C21+D19</f>
        <v>59999.999999999993</v>
      </c>
      <c r="E21" s="38">
        <f>D21+E19</f>
        <v>101333.33333333333</v>
      </c>
      <c r="F21" s="38">
        <f>E21+F19</f>
        <v>169000</v>
      </c>
    </row>
    <row r="22" spans="1:9">
      <c r="A22" s="40" t="s">
        <v>54</v>
      </c>
      <c r="B22" s="41">
        <f>SUM(B20:F20)</f>
        <v>5259.1685993117717</v>
      </c>
      <c r="C22" s="42"/>
      <c r="D22" s="42"/>
      <c r="E22" s="42"/>
      <c r="F22" s="42"/>
      <c r="G22" s="43"/>
    </row>
    <row r="23" spans="1:9">
      <c r="A23" s="44" t="s">
        <v>56</v>
      </c>
      <c r="B23" s="45">
        <v>0.15</v>
      </c>
      <c r="C23" s="46"/>
      <c r="D23" s="46"/>
      <c r="E23" s="46"/>
      <c r="F23" s="46"/>
      <c r="G23" s="47"/>
    </row>
    <row r="24" spans="1:9">
      <c r="A24" s="44" t="s">
        <v>55</v>
      </c>
      <c r="B24" s="53">
        <f>(C19+D19+E19+F19)/B17</f>
        <v>1.5504587155963303</v>
      </c>
      <c r="C24" s="46" t="s">
        <v>66</v>
      </c>
      <c r="D24" s="46"/>
      <c r="E24" s="46"/>
      <c r="F24" s="46"/>
      <c r="G24" s="47"/>
    </row>
    <row r="25" spans="1:9">
      <c r="A25" s="44" t="s">
        <v>57</v>
      </c>
      <c r="B25" s="46">
        <v>0.17</v>
      </c>
      <c r="C25" s="46" t="s">
        <v>65</v>
      </c>
      <c r="D25" s="46"/>
      <c r="E25" s="46"/>
      <c r="F25" s="46"/>
      <c r="G25" s="47"/>
    </row>
    <row r="26" spans="1:9">
      <c r="A26" s="44" t="s">
        <v>58</v>
      </c>
      <c r="B26" s="46">
        <f>F3-1</f>
        <v>3</v>
      </c>
      <c r="C26" s="46" t="s">
        <v>59</v>
      </c>
      <c r="D26" s="52">
        <f>360*((F21-B17)/(F21-E21))</f>
        <v>319.21182266009851</v>
      </c>
      <c r="E26" s="46" t="s">
        <v>60</v>
      </c>
      <c r="F26" s="46"/>
      <c r="G26" s="47"/>
      <c r="H26" t="s">
        <v>67</v>
      </c>
      <c r="I26" t="s">
        <v>68</v>
      </c>
    </row>
    <row r="27" spans="1:9" ht="15.75" thickBot="1">
      <c r="A27" s="48" t="s">
        <v>61</v>
      </c>
      <c r="B27" s="51">
        <f>((C19+D19+E19+F19)/4)/B17</f>
        <v>0.38761467889908258</v>
      </c>
      <c r="C27" s="49" t="s">
        <v>62</v>
      </c>
      <c r="D27" s="49"/>
      <c r="E27" s="49"/>
      <c r="F27" s="49"/>
      <c r="G27" s="50"/>
    </row>
    <row r="28" spans="1:9">
      <c r="A28" s="62" t="s">
        <v>41</v>
      </c>
      <c r="B28" s="62"/>
      <c r="C28" s="62"/>
      <c r="D28" s="62"/>
      <c r="E28" s="62"/>
      <c r="F28" s="62"/>
      <c r="G28" s="62"/>
    </row>
    <row r="29" spans="1:9" ht="15.75" thickBot="1"/>
    <row r="30" spans="1:9">
      <c r="A30" s="29" t="s">
        <v>25</v>
      </c>
      <c r="B30" s="30">
        <v>0</v>
      </c>
      <c r="C30" s="30">
        <v>1</v>
      </c>
      <c r="D30" s="30">
        <v>2</v>
      </c>
      <c r="E30" s="30">
        <v>3</v>
      </c>
      <c r="F30" s="30">
        <v>4</v>
      </c>
      <c r="G30" s="31">
        <v>5</v>
      </c>
    </row>
    <row r="31" spans="1:9">
      <c r="A31" s="18" t="s">
        <v>42</v>
      </c>
      <c r="B31" s="22">
        <v>0</v>
      </c>
      <c r="C31" s="22">
        <v>100000</v>
      </c>
      <c r="D31" s="22">
        <v>130000</v>
      </c>
      <c r="E31" s="22">
        <v>180000</v>
      </c>
      <c r="F31" s="22">
        <v>140000</v>
      </c>
      <c r="G31" s="23"/>
    </row>
    <row r="32" spans="1:9">
      <c r="A32" s="18" t="s">
        <v>43</v>
      </c>
      <c r="B32" s="22">
        <v>0</v>
      </c>
      <c r="C32" s="22">
        <v>70000</v>
      </c>
      <c r="D32" s="22">
        <v>90000</v>
      </c>
      <c r="E32" s="22">
        <v>128000</v>
      </c>
      <c r="F32" s="22">
        <v>107000</v>
      </c>
      <c r="G32" s="23"/>
    </row>
    <row r="33" spans="1:7">
      <c r="A33" s="18" t="s">
        <v>44</v>
      </c>
      <c r="B33" s="22"/>
      <c r="C33" s="22">
        <f>$D$2/$D$3</f>
        <v>20000</v>
      </c>
      <c r="D33" s="22">
        <f>$D$2/$D$3</f>
        <v>20000</v>
      </c>
      <c r="E33" s="22">
        <f>$D$2/$D$3</f>
        <v>20000</v>
      </c>
      <c r="F33" s="22">
        <f>$D$2/$D$3</f>
        <v>20000</v>
      </c>
      <c r="G33" s="22"/>
    </row>
    <row r="34" spans="1:7">
      <c r="A34" s="19" t="s">
        <v>45</v>
      </c>
      <c r="B34" s="21">
        <f t="shared" ref="B34:G34" si="4">B31-B32-B33</f>
        <v>0</v>
      </c>
      <c r="C34" s="21">
        <f t="shared" si="4"/>
        <v>10000</v>
      </c>
      <c r="D34" s="21">
        <f t="shared" si="4"/>
        <v>20000</v>
      </c>
      <c r="E34" s="21">
        <f t="shared" si="4"/>
        <v>32000</v>
      </c>
      <c r="F34" s="21">
        <f t="shared" si="4"/>
        <v>13000</v>
      </c>
      <c r="G34" s="21">
        <f t="shared" si="4"/>
        <v>0</v>
      </c>
    </row>
    <row r="35" spans="1:7">
      <c r="A35" s="18" t="s">
        <v>46</v>
      </c>
      <c r="B35" s="21">
        <f t="shared" ref="B35:G35" si="5">B34/3</f>
        <v>0</v>
      </c>
      <c r="C35" s="21">
        <f t="shared" si="5"/>
        <v>3333.3333333333335</v>
      </c>
      <c r="D35" s="21">
        <f t="shared" si="5"/>
        <v>6666.666666666667</v>
      </c>
      <c r="E35" s="21">
        <f t="shared" si="5"/>
        <v>10666.666666666666</v>
      </c>
      <c r="F35" s="21">
        <f t="shared" si="5"/>
        <v>4333.333333333333</v>
      </c>
      <c r="G35" s="21">
        <f t="shared" si="5"/>
        <v>0</v>
      </c>
    </row>
    <row r="36" spans="1:7">
      <c r="A36" s="19" t="s">
        <v>48</v>
      </c>
      <c r="B36" s="21">
        <f t="shared" ref="B36:G36" si="6">B34-B35</f>
        <v>0</v>
      </c>
      <c r="C36" s="21">
        <f t="shared" si="6"/>
        <v>6666.6666666666661</v>
      </c>
      <c r="D36" s="21">
        <f t="shared" si="6"/>
        <v>13333.333333333332</v>
      </c>
      <c r="E36" s="21">
        <f t="shared" si="6"/>
        <v>21333.333333333336</v>
      </c>
      <c r="F36" s="21">
        <f t="shared" si="6"/>
        <v>8666.6666666666679</v>
      </c>
      <c r="G36" s="21">
        <f t="shared" si="6"/>
        <v>0</v>
      </c>
    </row>
    <row r="37" spans="1:7">
      <c r="A37" s="18" t="s">
        <v>49</v>
      </c>
      <c r="B37" s="21"/>
      <c r="C37" s="21">
        <f>C33</f>
        <v>20000</v>
      </c>
      <c r="D37" s="21">
        <f>D33</f>
        <v>20000</v>
      </c>
      <c r="E37" s="21">
        <f>E33</f>
        <v>20000</v>
      </c>
      <c r="F37" s="21">
        <f>F33</f>
        <v>20000</v>
      </c>
      <c r="G37" s="21">
        <f>G33</f>
        <v>0</v>
      </c>
    </row>
    <row r="38" spans="1:7" ht="15.75" thickBot="1">
      <c r="A38" s="20" t="s">
        <v>47</v>
      </c>
      <c r="B38" s="25">
        <f>B36-B37</f>
        <v>0</v>
      </c>
      <c r="C38" s="25">
        <f>C36+C37</f>
        <v>26666.666666666664</v>
      </c>
      <c r="D38" s="25">
        <f>D36+D37</f>
        <v>33333.333333333328</v>
      </c>
      <c r="E38" s="25">
        <f>E36+E37</f>
        <v>41333.333333333336</v>
      </c>
      <c r="F38" s="25">
        <f>F36+F37</f>
        <v>28666.666666666668</v>
      </c>
      <c r="G38" s="25">
        <f>G36+G37</f>
        <v>0</v>
      </c>
    </row>
  </sheetData>
  <mergeCells count="2">
    <mergeCell ref="A28:G28"/>
    <mergeCell ref="A1:E1"/>
  </mergeCells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tabSelected="1" topLeftCell="A31" workbookViewId="0">
      <selection activeCell="D42" sqref="D42"/>
    </sheetView>
  </sheetViews>
  <sheetFormatPr baseColWidth="10" defaultRowHeight="15"/>
  <cols>
    <col min="1" max="1" width="30.140625" bestFit="1" customWidth="1"/>
    <col min="2" max="2" width="11.85546875" bestFit="1" customWidth="1"/>
    <col min="3" max="3" width="19.42578125" bestFit="1" customWidth="1"/>
    <col min="4" max="4" width="9.28515625" bestFit="1" customWidth="1"/>
    <col min="5" max="5" width="16.7109375" bestFit="1" customWidth="1"/>
  </cols>
  <sheetData>
    <row r="1" spans="1:14">
      <c r="A1" s="63"/>
      <c r="B1" s="63"/>
      <c r="C1" s="63"/>
      <c r="D1" s="63"/>
      <c r="E1" s="63"/>
    </row>
    <row r="2" spans="1:14">
      <c r="C2" s="17" t="s">
        <v>50</v>
      </c>
      <c r="D2" s="28">
        <v>24000</v>
      </c>
      <c r="E2" t="s">
        <v>69</v>
      </c>
    </row>
    <row r="3" spans="1:14">
      <c r="C3" s="17"/>
      <c r="D3" s="71"/>
      <c r="E3" t="s">
        <v>52</v>
      </c>
      <c r="F3" s="54">
        <v>5</v>
      </c>
      <c r="G3" t="s">
        <v>70</v>
      </c>
      <c r="H3" s="54">
        <v>1.75</v>
      </c>
      <c r="I3" t="s">
        <v>85</v>
      </c>
      <c r="J3" s="54">
        <v>0.05</v>
      </c>
    </row>
    <row r="4" spans="1:14" ht="15.75" thickBot="1">
      <c r="A4" t="s">
        <v>88</v>
      </c>
    </row>
    <row r="5" spans="1:14">
      <c r="A5" s="29" t="s">
        <v>25</v>
      </c>
      <c r="B5" s="30">
        <v>0</v>
      </c>
      <c r="C5" s="30">
        <v>1</v>
      </c>
      <c r="D5" s="30">
        <v>2</v>
      </c>
      <c r="E5" s="30">
        <v>3</v>
      </c>
      <c r="F5" s="30">
        <v>4</v>
      </c>
      <c r="G5" s="30">
        <v>5</v>
      </c>
      <c r="J5" t="s">
        <v>84</v>
      </c>
    </row>
    <row r="6" spans="1:14">
      <c r="A6" s="57" t="s">
        <v>71</v>
      </c>
      <c r="B6" s="22"/>
      <c r="C6" s="22">
        <v>34800</v>
      </c>
      <c r="D6" s="22">
        <v>36000</v>
      </c>
      <c r="E6" s="22">
        <v>37800</v>
      </c>
      <c r="F6" s="22">
        <v>37200</v>
      </c>
      <c r="G6" s="22">
        <v>37200</v>
      </c>
      <c r="I6" s="17"/>
      <c r="J6" s="36">
        <v>1</v>
      </c>
      <c r="K6" s="36">
        <v>2</v>
      </c>
      <c r="L6" s="36">
        <v>3</v>
      </c>
      <c r="M6" s="36">
        <v>4</v>
      </c>
      <c r="N6" s="36">
        <v>5</v>
      </c>
    </row>
    <row r="7" spans="1:14">
      <c r="A7" s="17" t="s">
        <v>72</v>
      </c>
      <c r="B7" s="22">
        <v>0</v>
      </c>
      <c r="C7" s="22">
        <v>19200</v>
      </c>
      <c r="D7" s="22">
        <f>C7+600</f>
        <v>19800</v>
      </c>
      <c r="E7" s="22">
        <f t="shared" ref="E7:G7" si="0">D7+600</f>
        <v>20400</v>
      </c>
      <c r="F7" s="22">
        <f t="shared" si="0"/>
        <v>21000</v>
      </c>
      <c r="G7" s="22">
        <f t="shared" si="0"/>
        <v>21600</v>
      </c>
      <c r="I7" s="17" t="s">
        <v>80</v>
      </c>
      <c r="J7" s="36">
        <f>(($D$2-B8)/$F$3)*$H$3</f>
        <v>8400</v>
      </c>
      <c r="K7" s="36">
        <f t="shared" ref="K7" si="1">(($D$2-J7)/$F$3)*$H$3</f>
        <v>5460</v>
      </c>
      <c r="L7" s="36">
        <f>(($D$2-K7-J7)/$F$3)*$H$3</f>
        <v>3549</v>
      </c>
      <c r="M7" s="36">
        <f>(($D$2-L7-K7-J7)/$F$3)*$H$3</f>
        <v>2306.85</v>
      </c>
      <c r="N7" s="36">
        <f>(($D$2-M7-L7-K7-J7)/$F$3)*$H$3</f>
        <v>1499.4525000000006</v>
      </c>
    </row>
    <row r="8" spans="1:14">
      <c r="A8" s="17" t="s">
        <v>73</v>
      </c>
      <c r="B8" s="36">
        <v>0</v>
      </c>
      <c r="C8" s="56">
        <f>J11</f>
        <v>8400</v>
      </c>
      <c r="D8" s="56">
        <f t="shared" ref="D8:G8" si="2">K11</f>
        <v>5460</v>
      </c>
      <c r="E8" s="64">
        <f t="shared" si="2"/>
        <v>3549</v>
      </c>
      <c r="F8" s="64">
        <f t="shared" si="2"/>
        <v>3295.5000000000009</v>
      </c>
      <c r="G8" s="64">
        <f t="shared" si="2"/>
        <v>3295.4999999999991</v>
      </c>
      <c r="I8" s="17" t="s">
        <v>81</v>
      </c>
      <c r="J8" s="11">
        <f>$D$2-J7</f>
        <v>15600</v>
      </c>
      <c r="K8" s="11">
        <f>$D$2-(K7+J7)</f>
        <v>10140</v>
      </c>
      <c r="L8" s="11">
        <f>$D$2-(L7+K7+J7)</f>
        <v>6591</v>
      </c>
      <c r="M8" s="11">
        <f>$D$2-(M7+L7+K7+J7)</f>
        <v>4284.1500000000015</v>
      </c>
      <c r="N8" s="11">
        <f>$D$2-(N7+M7+L7+K7+J7)</f>
        <v>2784.6974999999984</v>
      </c>
    </row>
    <row r="9" spans="1:14">
      <c r="A9" s="17" t="s">
        <v>45</v>
      </c>
      <c r="B9" s="36">
        <v>0</v>
      </c>
      <c r="C9" s="36">
        <f>C6-C7-C8</f>
        <v>7200</v>
      </c>
      <c r="D9" s="36">
        <f t="shared" ref="D9:F9" si="3">D6-D7-D8</f>
        <v>10740</v>
      </c>
      <c r="E9" s="36">
        <f t="shared" si="3"/>
        <v>13851</v>
      </c>
      <c r="F9" s="36">
        <f t="shared" si="3"/>
        <v>12904.5</v>
      </c>
      <c r="G9" s="36">
        <f>G6-G7-G8</f>
        <v>12304.5</v>
      </c>
      <c r="I9" s="17" t="s">
        <v>82</v>
      </c>
      <c r="J9" s="11">
        <f>(J8+J7)/($F$3-J6+1)</f>
        <v>4800</v>
      </c>
      <c r="K9" s="11">
        <f t="shared" ref="K9:M9" si="4">(K8+K7)/($F$3-K6+1)</f>
        <v>3900</v>
      </c>
      <c r="L9" s="11">
        <f t="shared" si="4"/>
        <v>3380</v>
      </c>
      <c r="M9" s="11">
        <f t="shared" si="4"/>
        <v>3295.5000000000009</v>
      </c>
      <c r="N9" s="55">
        <f>$D$2-J11-K11-L11-M11</f>
        <v>3295.4999999999991</v>
      </c>
    </row>
    <row r="10" spans="1:14">
      <c r="A10" s="17" t="s">
        <v>74</v>
      </c>
      <c r="B10" s="36"/>
      <c r="C10" s="36">
        <f>C9/3</f>
        <v>2400</v>
      </c>
      <c r="D10" s="36">
        <f t="shared" ref="D10:G10" si="5">D9/3</f>
        <v>3580</v>
      </c>
      <c r="E10" s="36">
        <f t="shared" si="5"/>
        <v>4617</v>
      </c>
      <c r="F10" s="36">
        <f t="shared" si="5"/>
        <v>4301.5</v>
      </c>
      <c r="G10" s="36">
        <f t="shared" si="5"/>
        <v>4101.5</v>
      </c>
      <c r="I10" s="17"/>
      <c r="J10" s="17"/>
      <c r="K10" s="17"/>
      <c r="L10" s="17"/>
      <c r="M10" s="17"/>
      <c r="N10" s="17"/>
    </row>
    <row r="11" spans="1:14">
      <c r="A11" s="57" t="s">
        <v>75</v>
      </c>
      <c r="B11" s="24">
        <f t="shared" ref="B11" si="6">SUM(B7:B10)</f>
        <v>0</v>
      </c>
      <c r="C11" s="24">
        <f>C9-C10</f>
        <v>4800</v>
      </c>
      <c r="D11" s="24">
        <f t="shared" ref="D11:G11" si="7">D9-D10</f>
        <v>7160</v>
      </c>
      <c r="E11" s="24">
        <f t="shared" si="7"/>
        <v>9234</v>
      </c>
      <c r="F11" s="24">
        <f t="shared" si="7"/>
        <v>8603</v>
      </c>
      <c r="G11" s="24">
        <f t="shared" si="7"/>
        <v>8203</v>
      </c>
      <c r="I11" s="17" t="s">
        <v>83</v>
      </c>
      <c r="J11" s="11">
        <f>MAX(J7,J9)</f>
        <v>8400</v>
      </c>
      <c r="K11" s="11">
        <f t="shared" ref="K11:N11" si="8">MAX(K7,K9)</f>
        <v>5460</v>
      </c>
      <c r="L11" s="11">
        <f t="shared" si="8"/>
        <v>3549</v>
      </c>
      <c r="M11" s="11">
        <f t="shared" si="8"/>
        <v>3295.5000000000009</v>
      </c>
      <c r="N11" s="55">
        <f t="shared" si="8"/>
        <v>3295.4999999999991</v>
      </c>
    </row>
    <row r="12" spans="1:14">
      <c r="A12" s="58" t="s">
        <v>76</v>
      </c>
      <c r="B12" s="17"/>
      <c r="C12" s="11">
        <f>C8</f>
        <v>8400</v>
      </c>
      <c r="D12" s="11">
        <f t="shared" ref="D12:G12" si="9">D8</f>
        <v>5460</v>
      </c>
      <c r="E12" s="11">
        <f t="shared" si="9"/>
        <v>3549</v>
      </c>
      <c r="F12" s="11">
        <f t="shared" si="9"/>
        <v>3295.5000000000009</v>
      </c>
      <c r="G12" s="11">
        <f t="shared" si="9"/>
        <v>3295.4999999999991</v>
      </c>
    </row>
    <row r="13" spans="1:14">
      <c r="A13" s="58" t="s">
        <v>77</v>
      </c>
      <c r="B13" s="11">
        <f>-D2</f>
        <v>-24000</v>
      </c>
      <c r="C13" s="11">
        <f>C11+C12</f>
        <v>13200</v>
      </c>
      <c r="D13" s="11">
        <f t="shared" ref="D13:G13" si="10">D11+D12</f>
        <v>12620</v>
      </c>
      <c r="E13" s="11">
        <f t="shared" si="10"/>
        <v>12783</v>
      </c>
      <c r="F13" s="11">
        <f t="shared" si="10"/>
        <v>11898.5</v>
      </c>
      <c r="G13" s="11">
        <f t="shared" si="10"/>
        <v>11498.5</v>
      </c>
    </row>
    <row r="15" spans="1:14" ht="15.75" thickBot="1">
      <c r="A15" t="s">
        <v>79</v>
      </c>
      <c r="B15" s="38">
        <f>B13</f>
        <v>-24000</v>
      </c>
      <c r="C15">
        <f>C13*(1/((1+$J$3)^C5))</f>
        <v>12571.428571428571</v>
      </c>
      <c r="D15">
        <f t="shared" ref="D15:G15" si="11">D13*(1/((1+$J$3)^D5))</f>
        <v>11446.712018140588</v>
      </c>
      <c r="E15">
        <f t="shared" si="11"/>
        <v>11042.436022027858</v>
      </c>
      <c r="F15">
        <f t="shared" si="11"/>
        <v>9788.9253963112078</v>
      </c>
      <c r="G15">
        <f t="shared" si="11"/>
        <v>9009.3756251375762</v>
      </c>
    </row>
    <row r="16" spans="1:14" ht="15.75" thickBot="1">
      <c r="A16" s="59" t="s">
        <v>78</v>
      </c>
      <c r="B16" s="76">
        <f>SUM(B15:G15)</f>
        <v>29858.877633045799</v>
      </c>
      <c r="C16" s="60"/>
      <c r="D16" s="60"/>
      <c r="E16" s="60"/>
      <c r="F16" s="60"/>
      <c r="G16" s="61"/>
    </row>
    <row r="19" spans="1:15" ht="15.75" thickBot="1">
      <c r="A19" t="s">
        <v>95</v>
      </c>
      <c r="D19" t="s">
        <v>86</v>
      </c>
      <c r="E19" s="54">
        <v>0.06</v>
      </c>
      <c r="F19" t="s">
        <v>87</v>
      </c>
      <c r="G19" s="17">
        <f>D2*(E19/(1-(1+E19)^-F3))</f>
        <v>5697.5136103485447</v>
      </c>
    </row>
    <row r="20" spans="1:15">
      <c r="A20" s="29" t="s">
        <v>25</v>
      </c>
      <c r="B20" s="30">
        <v>0</v>
      </c>
      <c r="C20" s="30">
        <v>1</v>
      </c>
      <c r="D20" s="30">
        <v>2</v>
      </c>
      <c r="E20" s="72">
        <v>3</v>
      </c>
      <c r="F20" s="30">
        <v>4</v>
      </c>
      <c r="G20" s="72">
        <v>5</v>
      </c>
      <c r="J20" t="s">
        <v>89</v>
      </c>
    </row>
    <row r="21" spans="1:15">
      <c r="A21" s="57" t="s">
        <v>71</v>
      </c>
      <c r="B21" s="22"/>
      <c r="C21" s="22">
        <v>34800</v>
      </c>
      <c r="D21" s="22">
        <v>36000</v>
      </c>
      <c r="E21" s="22">
        <v>37800</v>
      </c>
      <c r="F21" s="22">
        <v>37200</v>
      </c>
      <c r="G21" s="22">
        <v>37200</v>
      </c>
      <c r="I21" s="17"/>
      <c r="J21" s="36">
        <v>1</v>
      </c>
      <c r="K21" s="36">
        <v>2</v>
      </c>
      <c r="L21" s="36">
        <v>3</v>
      </c>
      <c r="M21" s="36">
        <v>4</v>
      </c>
      <c r="N21" s="36">
        <v>5</v>
      </c>
    </row>
    <row r="22" spans="1:15">
      <c r="A22" s="17" t="s">
        <v>72</v>
      </c>
      <c r="B22" s="22">
        <v>0</v>
      </c>
      <c r="C22" s="22">
        <v>19200</v>
      </c>
      <c r="D22" s="22">
        <f>C22+600</f>
        <v>19800</v>
      </c>
      <c r="E22" s="22">
        <f t="shared" ref="E22:G22" si="12">D22+600</f>
        <v>20400</v>
      </c>
      <c r="F22" s="22">
        <f t="shared" si="12"/>
        <v>21000</v>
      </c>
      <c r="G22" s="22">
        <f t="shared" si="12"/>
        <v>21600</v>
      </c>
      <c r="I22" s="17" t="s">
        <v>10</v>
      </c>
      <c r="J22" s="36">
        <f>D2</f>
        <v>24000</v>
      </c>
      <c r="K22" s="36">
        <f>J22-J24</f>
        <v>19742.486389651454</v>
      </c>
      <c r="L22" s="36">
        <f t="shared" ref="L22:N22" si="13">K22-K24</f>
        <v>15229.521962681996</v>
      </c>
      <c r="M22" s="36">
        <f t="shared" si="13"/>
        <v>10445.779670094371</v>
      </c>
      <c r="N22" s="36">
        <f t="shared" si="13"/>
        <v>5375.0128399514888</v>
      </c>
    </row>
    <row r="23" spans="1:15">
      <c r="A23" s="17" t="s">
        <v>73</v>
      </c>
      <c r="B23" s="36">
        <v>0</v>
      </c>
      <c r="C23" s="56">
        <f>J11</f>
        <v>8400</v>
      </c>
      <c r="D23" s="56">
        <f t="shared" ref="D23:G23" si="14">K11</f>
        <v>5460</v>
      </c>
      <c r="E23" s="64">
        <f t="shared" si="14"/>
        <v>3549</v>
      </c>
      <c r="F23" s="56">
        <f t="shared" si="14"/>
        <v>3295.5000000000009</v>
      </c>
      <c r="G23" s="56">
        <f t="shared" si="14"/>
        <v>3295.4999999999991</v>
      </c>
      <c r="I23" s="17" t="s">
        <v>90</v>
      </c>
      <c r="J23" s="65">
        <f>J22*$E$19</f>
        <v>1440</v>
      </c>
      <c r="K23" s="65">
        <f t="shared" ref="K23:N23" si="15">K22*$E$19</f>
        <v>1184.5491833790873</v>
      </c>
      <c r="L23" s="65">
        <f t="shared" si="15"/>
        <v>913.77131776091971</v>
      </c>
      <c r="M23" s="65">
        <f t="shared" si="15"/>
        <v>626.74678020566228</v>
      </c>
      <c r="N23" s="65">
        <f t="shared" si="15"/>
        <v>322.5007703970893</v>
      </c>
      <c r="O23" s="38">
        <f>J23+K23+L23+M23+N23</f>
        <v>4487.5680517427591</v>
      </c>
    </row>
    <row r="24" spans="1:15">
      <c r="A24" s="58" t="s">
        <v>93</v>
      </c>
      <c r="B24" s="17"/>
      <c r="C24" s="11">
        <f>J23</f>
        <v>1440</v>
      </c>
      <c r="D24" s="11">
        <f t="shared" ref="D24:G24" si="16">K23</f>
        <v>1184.5491833790873</v>
      </c>
      <c r="E24" s="66">
        <f t="shared" si="16"/>
        <v>913.77131776091971</v>
      </c>
      <c r="F24" s="11">
        <f t="shared" si="16"/>
        <v>626.74678020566228</v>
      </c>
      <c r="G24" s="11">
        <f t="shared" si="16"/>
        <v>322.5007703970893</v>
      </c>
      <c r="I24" s="17" t="s">
        <v>91</v>
      </c>
      <c r="J24" s="11">
        <f>J26-J23</f>
        <v>4257.5136103485447</v>
      </c>
      <c r="K24" s="11">
        <f t="shared" ref="K24:N24" si="17">K26-K23</f>
        <v>4512.9644269694572</v>
      </c>
      <c r="L24" s="11">
        <f t="shared" si="17"/>
        <v>4783.7422925876253</v>
      </c>
      <c r="M24" s="11">
        <f t="shared" si="17"/>
        <v>5070.7668301428821</v>
      </c>
      <c r="N24" s="11">
        <f t="shared" si="17"/>
        <v>5375.0128399514551</v>
      </c>
      <c r="O24" s="38">
        <f>J24+K24+L24+M24+N24</f>
        <v>23999.999999999964</v>
      </c>
    </row>
    <row r="25" spans="1:15">
      <c r="A25" s="17" t="s">
        <v>45</v>
      </c>
      <c r="B25" s="36">
        <v>0</v>
      </c>
      <c r="C25" s="36">
        <f>C21-C22-C23-C24</f>
        <v>5760</v>
      </c>
      <c r="D25" s="36">
        <f t="shared" ref="D25:G25" si="18">D21-D22-D23-D24</f>
        <v>9555.4508166209125</v>
      </c>
      <c r="E25" s="68">
        <f t="shared" si="18"/>
        <v>12937.22868223908</v>
      </c>
      <c r="F25" s="36">
        <f t="shared" si="18"/>
        <v>12277.753219794338</v>
      </c>
      <c r="G25" s="36">
        <f t="shared" si="18"/>
        <v>11981.99922960291</v>
      </c>
      <c r="I25" s="17"/>
      <c r="J25" s="17"/>
      <c r="K25" s="17"/>
      <c r="L25" s="17"/>
      <c r="M25" s="17"/>
      <c r="N25" s="17"/>
    </row>
    <row r="26" spans="1:15">
      <c r="A26" s="17" t="s">
        <v>74</v>
      </c>
      <c r="B26" s="36"/>
      <c r="C26" s="36">
        <f>C25/3</f>
        <v>1920</v>
      </c>
      <c r="D26" s="36">
        <f t="shared" ref="D26" si="19">D25/3</f>
        <v>3185.1502722069708</v>
      </c>
      <c r="E26" s="68">
        <f t="shared" ref="E26" si="20">E25/3</f>
        <v>4312.4095607463596</v>
      </c>
      <c r="F26" s="36">
        <f t="shared" ref="F26" si="21">F25/3</f>
        <v>4092.5844065981128</v>
      </c>
      <c r="G26" s="36">
        <f t="shared" ref="G26" si="22">G25/3</f>
        <v>3993.99974320097</v>
      </c>
      <c r="I26" s="17" t="s">
        <v>22</v>
      </c>
      <c r="J26" s="11">
        <f>$G$19</f>
        <v>5697.5136103485447</v>
      </c>
      <c r="K26" s="11">
        <f t="shared" ref="K26:N26" si="23">$G$19</f>
        <v>5697.5136103485447</v>
      </c>
      <c r="L26" s="11">
        <f t="shared" si="23"/>
        <v>5697.5136103485447</v>
      </c>
      <c r="M26" s="11">
        <f t="shared" si="23"/>
        <v>5697.5136103485447</v>
      </c>
      <c r="N26" s="11">
        <f t="shared" si="23"/>
        <v>5697.5136103485447</v>
      </c>
    </row>
    <row r="27" spans="1:15">
      <c r="A27" s="57" t="s">
        <v>75</v>
      </c>
      <c r="B27" s="24">
        <f>SUM(B22:B26)</f>
        <v>0</v>
      </c>
      <c r="C27" s="24">
        <f>C25-C26</f>
        <v>3840</v>
      </c>
      <c r="D27" s="24">
        <f t="shared" ref="D27" si="24">D25-D26</f>
        <v>6370.3005444139417</v>
      </c>
      <c r="E27" s="67">
        <f t="shared" ref="E27" si="25">E25-E26</f>
        <v>8624.819121492721</v>
      </c>
      <c r="F27" s="24">
        <f t="shared" ref="F27" si="26">F25-F26</f>
        <v>8185.1688131962255</v>
      </c>
      <c r="G27" s="24">
        <f t="shared" ref="G27" si="27">G25-G26</f>
        <v>7987.9994864019409</v>
      </c>
      <c r="I27" s="17"/>
      <c r="J27" s="17"/>
      <c r="K27" s="17"/>
      <c r="L27" s="17"/>
      <c r="M27" s="17"/>
      <c r="N27" s="17"/>
    </row>
    <row r="28" spans="1:15">
      <c r="A28" s="58" t="s">
        <v>76</v>
      </c>
      <c r="B28" s="17"/>
      <c r="C28" s="11">
        <f>C23</f>
        <v>8400</v>
      </c>
      <c r="D28" s="11">
        <f>D23</f>
        <v>5460</v>
      </c>
      <c r="E28" s="11">
        <f>E23</f>
        <v>3549</v>
      </c>
      <c r="F28" s="11">
        <f>F23</f>
        <v>3295.5000000000009</v>
      </c>
      <c r="G28" s="11">
        <f>G23</f>
        <v>3295.4999999999991</v>
      </c>
      <c r="I28" s="17" t="s">
        <v>92</v>
      </c>
      <c r="J28" s="17"/>
      <c r="K28" s="17"/>
      <c r="L28" s="17"/>
      <c r="M28" s="17"/>
      <c r="N28" s="17"/>
    </row>
    <row r="29" spans="1:15">
      <c r="A29" s="58" t="s">
        <v>94</v>
      </c>
      <c r="B29" s="17"/>
      <c r="C29" s="11">
        <f>J24</f>
        <v>4257.5136103485447</v>
      </c>
      <c r="D29" s="11">
        <f t="shared" ref="D29:G29" si="28">K24</f>
        <v>4512.9644269694572</v>
      </c>
      <c r="E29" s="11">
        <f t="shared" si="28"/>
        <v>4783.7422925876253</v>
      </c>
      <c r="F29" s="11">
        <f t="shared" si="28"/>
        <v>5070.7668301428821</v>
      </c>
      <c r="G29" s="11">
        <f t="shared" si="28"/>
        <v>5375.0128399514551</v>
      </c>
    </row>
    <row r="30" spans="1:15">
      <c r="A30" s="58" t="s">
        <v>77</v>
      </c>
      <c r="B30" s="11">
        <f>-D17</f>
        <v>0</v>
      </c>
      <c r="C30" s="11">
        <f>C27+C28-C29</f>
        <v>7982.4863896514553</v>
      </c>
      <c r="D30" s="11">
        <f t="shared" ref="D30:G30" si="29">D27+D28-D29</f>
        <v>7317.3361174444844</v>
      </c>
      <c r="E30" s="66">
        <f t="shared" si="29"/>
        <v>7390.0768289050957</v>
      </c>
      <c r="F30" s="11">
        <f t="shared" si="29"/>
        <v>6409.9019830533434</v>
      </c>
      <c r="G30" s="11">
        <f t="shared" si="29"/>
        <v>5908.4866464504839</v>
      </c>
    </row>
    <row r="32" spans="1:15">
      <c r="A32" s="73" t="s">
        <v>79</v>
      </c>
      <c r="B32" s="74">
        <f>B30</f>
        <v>0</v>
      </c>
      <c r="C32" s="73">
        <f>C30*(1/((1+$J$3)^C20))</f>
        <v>7602.3679901442429</v>
      </c>
      <c r="D32" s="73">
        <f>D30*(1/((1+$J$3)^D20))</f>
        <v>6637.0395623079221</v>
      </c>
      <c r="E32" s="73">
        <f>E30*(1/((1+$J$3)^E20))</f>
        <v>6383.826220844483</v>
      </c>
      <c r="F32" s="73">
        <f>F30*(1/((1+$J$3)^F20))</f>
        <v>5273.4422246313779</v>
      </c>
      <c r="G32" s="73">
        <f>G30*(1/((1+$J$3)^G20))</f>
        <v>4629.4538917234286</v>
      </c>
    </row>
    <row r="33" spans="1:7" ht="15.75" thickBot="1">
      <c r="A33" s="48" t="s">
        <v>78</v>
      </c>
      <c r="B33" s="75">
        <f>SUM(B32:G32)</f>
        <v>30526.129889651453</v>
      </c>
      <c r="C33" s="49"/>
      <c r="D33" s="49"/>
      <c r="E33" s="49"/>
      <c r="F33" s="49"/>
      <c r="G33" s="50"/>
    </row>
    <row r="37" spans="1:7" ht="15.75" thickBot="1">
      <c r="A37" t="s">
        <v>96</v>
      </c>
      <c r="E37" s="69"/>
    </row>
    <row r="38" spans="1:7">
      <c r="A38" s="29" t="s">
        <v>25</v>
      </c>
      <c r="B38" s="30">
        <v>0</v>
      </c>
      <c r="C38" s="30">
        <v>1</v>
      </c>
      <c r="D38" s="30">
        <v>2</v>
      </c>
      <c r="E38" s="30">
        <v>3</v>
      </c>
      <c r="F38" s="30">
        <v>4</v>
      </c>
      <c r="G38" s="30">
        <v>5</v>
      </c>
    </row>
    <row r="39" spans="1:7">
      <c r="A39" s="57" t="s">
        <v>71</v>
      </c>
      <c r="B39" s="22"/>
      <c r="C39" s="22">
        <v>34800</v>
      </c>
      <c r="D39" s="22">
        <v>36000</v>
      </c>
      <c r="E39" s="22">
        <v>37800</v>
      </c>
      <c r="F39" s="22">
        <v>37200</v>
      </c>
      <c r="G39" s="22">
        <v>37200</v>
      </c>
    </row>
    <row r="40" spans="1:7">
      <c r="A40" s="17" t="s">
        <v>72</v>
      </c>
      <c r="B40" s="22">
        <v>0</v>
      </c>
      <c r="C40" s="22">
        <v>19200</v>
      </c>
      <c r="D40" s="22">
        <f>C40+600</f>
        <v>19800</v>
      </c>
      <c r="E40" s="22">
        <f t="shared" ref="E40" si="30">D40+600</f>
        <v>20400</v>
      </c>
      <c r="F40" s="22">
        <f t="shared" ref="F40" si="31">E40+600</f>
        <v>21000</v>
      </c>
      <c r="G40" s="22">
        <f t="shared" ref="G40" si="32">F40+600</f>
        <v>21600</v>
      </c>
    </row>
    <row r="41" spans="1:7">
      <c r="A41" s="17" t="s">
        <v>73</v>
      </c>
      <c r="B41" s="36">
        <v>0</v>
      </c>
      <c r="C41" s="56">
        <f>J29</f>
        <v>0</v>
      </c>
      <c r="D41" s="56">
        <f t="shared" ref="D41" si="33">K29</f>
        <v>0</v>
      </c>
      <c r="E41" s="64">
        <f t="shared" ref="E41" si="34">L29</f>
        <v>0</v>
      </c>
      <c r="F41" s="56">
        <f t="shared" ref="F41" si="35">M29</f>
        <v>0</v>
      </c>
      <c r="G41" s="70">
        <v>1200</v>
      </c>
    </row>
    <row r="42" spans="1:7">
      <c r="A42" s="58" t="s">
        <v>97</v>
      </c>
      <c r="B42" s="17"/>
      <c r="C42" s="11">
        <v>6300</v>
      </c>
      <c r="D42" s="11">
        <v>6300</v>
      </c>
      <c r="E42" s="11">
        <v>6300</v>
      </c>
      <c r="F42" s="11">
        <v>6300</v>
      </c>
      <c r="G42" s="11">
        <v>6300</v>
      </c>
    </row>
    <row r="43" spans="1:7">
      <c r="A43" s="17" t="s">
        <v>45</v>
      </c>
      <c r="B43" s="36">
        <v>0</v>
      </c>
      <c r="C43" s="36">
        <f>C39-C40-C41-C42</f>
        <v>9300</v>
      </c>
      <c r="D43" s="36">
        <f t="shared" ref="D43" si="36">D39-D40-D41-D42</f>
        <v>9900</v>
      </c>
      <c r="E43" s="68">
        <f t="shared" ref="E43" si="37">E39-E40-E41-E42</f>
        <v>11100</v>
      </c>
      <c r="F43" s="36">
        <f t="shared" ref="F43" si="38">F39-F40-F41-F42</f>
        <v>9900</v>
      </c>
      <c r="G43" s="36">
        <f t="shared" ref="G43" si="39">G39-G40-G41-G42</f>
        <v>8100</v>
      </c>
    </row>
    <row r="44" spans="1:7">
      <c r="A44" s="17" t="s">
        <v>74</v>
      </c>
      <c r="B44" s="36"/>
      <c r="C44" s="36">
        <f>C43/3</f>
        <v>3100</v>
      </c>
      <c r="D44" s="36">
        <f t="shared" ref="D44:G44" si="40">D43/3</f>
        <v>3300</v>
      </c>
      <c r="E44" s="68">
        <f t="shared" si="40"/>
        <v>3700</v>
      </c>
      <c r="F44" s="36">
        <f t="shared" si="40"/>
        <v>3300</v>
      </c>
      <c r="G44" s="36">
        <f t="shared" si="40"/>
        <v>2700</v>
      </c>
    </row>
    <row r="45" spans="1:7">
      <c r="A45" s="57" t="s">
        <v>75</v>
      </c>
      <c r="B45" s="24">
        <f>SUM(B40:B44)</f>
        <v>0</v>
      </c>
      <c r="C45" s="24">
        <f>C43-C44</f>
        <v>6200</v>
      </c>
      <c r="D45" s="24">
        <f t="shared" ref="D45:G45" si="41">D43-D44</f>
        <v>6600</v>
      </c>
      <c r="E45" s="67">
        <f t="shared" si="41"/>
        <v>7400</v>
      </c>
      <c r="F45" s="24">
        <f t="shared" si="41"/>
        <v>6600</v>
      </c>
      <c r="G45" s="24">
        <f t="shared" si="41"/>
        <v>5400</v>
      </c>
    </row>
    <row r="46" spans="1:7">
      <c r="A46" s="58" t="s">
        <v>76</v>
      </c>
      <c r="B46" s="17"/>
      <c r="C46" s="11">
        <f>C41</f>
        <v>0</v>
      </c>
      <c r="D46" s="11">
        <f>D41</f>
        <v>0</v>
      </c>
      <c r="E46" s="11">
        <f>E41</f>
        <v>0</v>
      </c>
      <c r="F46" s="11">
        <f>F41</f>
        <v>0</v>
      </c>
      <c r="G46" s="11">
        <f>G41</f>
        <v>1200</v>
      </c>
    </row>
    <row r="47" spans="1:7">
      <c r="A47" s="58" t="s">
        <v>98</v>
      </c>
      <c r="B47" s="54">
        <v>-6300</v>
      </c>
      <c r="C47" s="11">
        <f>J42</f>
        <v>0</v>
      </c>
      <c r="D47" s="11">
        <f t="shared" ref="D47" si="42">K42</f>
        <v>0</v>
      </c>
      <c r="E47" s="11">
        <f t="shared" ref="E47" si="43">L42</f>
        <v>0</v>
      </c>
      <c r="F47" s="11">
        <f t="shared" ref="F47" si="44">M42</f>
        <v>0</v>
      </c>
      <c r="G47" s="70">
        <v>6300</v>
      </c>
    </row>
    <row r="48" spans="1:7">
      <c r="A48" s="58" t="s">
        <v>77</v>
      </c>
      <c r="B48" s="11">
        <f>B45+B47</f>
        <v>-6300</v>
      </c>
      <c r="C48" s="11">
        <f>C45+C46+C47</f>
        <v>6200</v>
      </c>
      <c r="D48" s="11">
        <f t="shared" ref="D48:G48" si="45">D45+D46+D47</f>
        <v>6600</v>
      </c>
      <c r="E48" s="11">
        <f t="shared" si="45"/>
        <v>7400</v>
      </c>
      <c r="F48" s="11">
        <f t="shared" si="45"/>
        <v>6600</v>
      </c>
      <c r="G48" s="11">
        <f t="shared" si="45"/>
        <v>12900</v>
      </c>
    </row>
    <row r="50" spans="1:7" ht="15.75" thickBot="1">
      <c r="A50" t="s">
        <v>79</v>
      </c>
      <c r="B50" s="38">
        <f>B48</f>
        <v>-6300</v>
      </c>
      <c r="C50">
        <f>C48*(1/((1+$J$3)^C38))</f>
        <v>5904.7619047619046</v>
      </c>
      <c r="D50">
        <f>D48*(1/((1+$J$3)^D38))</f>
        <v>5986.3945578231287</v>
      </c>
      <c r="E50">
        <f>E48*(1/((1+$J$3)^E38))</f>
        <v>6392.3982291329221</v>
      </c>
      <c r="F50">
        <f>F48*(1/((1+$J$3)^F38))</f>
        <v>5429.836333626421</v>
      </c>
      <c r="G50">
        <f>G48*(1/((1+$J$3)^G38))</f>
        <v>10107.487547443121</v>
      </c>
    </row>
    <row r="51" spans="1:7" ht="15.75" thickBot="1">
      <c r="A51" s="59" t="s">
        <v>78</v>
      </c>
      <c r="B51" s="76">
        <f>SUM(B50:G50)</f>
        <v>27520.878572787497</v>
      </c>
      <c r="C51" s="60"/>
      <c r="D51" s="60"/>
      <c r="E51" s="60"/>
      <c r="F51" s="60"/>
      <c r="G51" s="61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Emprunt bancaire classique</vt:lpstr>
      <vt:lpstr>Flux nets trésorerie</vt:lpstr>
      <vt:lpstr>Méthodes de financement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Heitz</dc:creator>
  <cp:lastModifiedBy>Dylan Heitz</cp:lastModifiedBy>
  <dcterms:created xsi:type="dcterms:W3CDTF">2016-04-15T13:07:06Z</dcterms:created>
  <dcterms:modified xsi:type="dcterms:W3CDTF">2016-05-01T19:59:57Z</dcterms:modified>
</cp:coreProperties>
</file>